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udget redesign committee\"/>
    </mc:Choice>
  </mc:AlternateContent>
  <bookViews>
    <workbookView xWindow="0" yWindow="0" windowWidth="28800" windowHeight="12435"/>
  </bookViews>
  <sheets>
    <sheet name="Base to Base" sheetId="2" r:id="rId1"/>
    <sheet name="Base to Base Plus" sheetId="3" state="hidden" r:id="rId2"/>
    <sheet name="College A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5" i="2" l="1"/>
  <c r="X35" i="2"/>
  <c r="V35" i="2"/>
  <c r="O26" i="2"/>
  <c r="B5" i="4" l="1"/>
  <c r="B4" i="4"/>
  <c r="P29" i="2"/>
  <c r="O29" i="2"/>
  <c r="P26" i="2"/>
  <c r="L26" i="2"/>
  <c r="R26" i="2" s="1"/>
  <c r="M26" i="2"/>
  <c r="S26" i="2" s="1"/>
  <c r="L27" i="2"/>
  <c r="I34" i="2"/>
  <c r="B6" i="4" l="1"/>
  <c r="B5" i="2" l="1"/>
  <c r="D5" i="2" s="1"/>
  <c r="B4" i="2"/>
  <c r="B3" i="2"/>
  <c r="F57" i="2"/>
  <c r="E57" i="2"/>
  <c r="G54" i="2" s="1"/>
  <c r="C38" i="2"/>
  <c r="C43" i="2" s="1"/>
  <c r="C47" i="2" s="1"/>
  <c r="C24" i="3"/>
  <c r="C20" i="3"/>
  <c r="C21" i="3"/>
  <c r="C22" i="3"/>
  <c r="C23" i="3"/>
  <c r="C32" i="2"/>
  <c r="H52" i="2" l="1"/>
  <c r="H53" i="2"/>
  <c r="H56" i="2"/>
  <c r="H54" i="2"/>
  <c r="H55" i="2"/>
  <c r="C54" i="2"/>
  <c r="C3" i="2"/>
  <c r="C4" i="2"/>
  <c r="E4" i="2" s="1"/>
  <c r="G56" i="2"/>
  <c r="G53" i="2"/>
  <c r="C53" i="2" s="1"/>
  <c r="G55" i="2"/>
  <c r="G52" i="2"/>
  <c r="D30" i="2"/>
  <c r="D28" i="2"/>
  <c r="H57" i="2" l="1"/>
  <c r="C55" i="2"/>
  <c r="C56" i="2"/>
  <c r="G57" i="2"/>
  <c r="C52" i="2"/>
  <c r="D27" i="2"/>
  <c r="D26" i="2"/>
  <c r="D29" i="2"/>
  <c r="D32" i="2" l="1"/>
  <c r="C57" i="2"/>
  <c r="B32" i="2"/>
  <c r="G24" i="3" l="1"/>
  <c r="F24" i="3"/>
  <c r="C5" i="3"/>
  <c r="C10" i="3" s="1"/>
  <c r="C13" i="3" s="1"/>
  <c r="M34" i="2"/>
  <c r="L34" i="2"/>
  <c r="S30" i="2"/>
  <c r="R30" i="2"/>
  <c r="P30" i="2"/>
  <c r="U30" i="2" s="1"/>
  <c r="O30" i="2"/>
  <c r="T30" i="2" s="1"/>
  <c r="S29" i="2"/>
  <c r="R29" i="2"/>
  <c r="U29" i="2"/>
  <c r="T29" i="2"/>
  <c r="S28" i="2"/>
  <c r="R28" i="2"/>
  <c r="P28" i="2"/>
  <c r="U28" i="2" s="1"/>
  <c r="O28" i="2"/>
  <c r="T28" i="2" s="1"/>
  <c r="S27" i="2"/>
  <c r="R27" i="2"/>
  <c r="P27" i="2"/>
  <c r="U27" i="2" s="1"/>
  <c r="O27" i="2"/>
  <c r="T27" i="2" s="1"/>
  <c r="B6" i="2"/>
  <c r="C6" i="2"/>
  <c r="M35" i="2" l="1"/>
  <c r="I20" i="3"/>
  <c r="I24" i="3"/>
  <c r="I21" i="3"/>
  <c r="I19" i="3"/>
  <c r="C19" i="3" s="1"/>
  <c r="I22" i="3"/>
  <c r="I23" i="3"/>
  <c r="H20" i="3"/>
  <c r="H19" i="3"/>
  <c r="H23" i="3"/>
  <c r="H21" i="3"/>
  <c r="H22" i="3"/>
  <c r="O34" i="2"/>
  <c r="F28" i="2"/>
  <c r="R34" i="2"/>
  <c r="S34" i="2"/>
  <c r="T26" i="2"/>
  <c r="B7" i="2"/>
  <c r="B8" i="2" s="1"/>
  <c r="F27" i="2"/>
  <c r="C7" i="2"/>
  <c r="C8" i="2" s="1"/>
  <c r="F29" i="2"/>
  <c r="D3" i="2"/>
  <c r="D6" i="2" s="1"/>
  <c r="F30" i="2"/>
  <c r="V24" i="2"/>
  <c r="V30" i="2" s="1"/>
  <c r="H24" i="3" l="1"/>
  <c r="V26" i="2"/>
  <c r="T35" i="2"/>
  <c r="V27" i="2"/>
  <c r="V28" i="2"/>
  <c r="S35" i="2"/>
  <c r="F26" i="2"/>
  <c r="F32" i="2" s="1"/>
  <c r="D7" i="2"/>
  <c r="D8" i="2" s="1"/>
  <c r="V29" i="2"/>
  <c r="U26" i="2" l="1"/>
  <c r="U35" i="2" s="1"/>
  <c r="J34" i="2"/>
  <c r="J35" i="2" s="1"/>
  <c r="W24" i="2" l="1"/>
  <c r="W29" i="2" s="1"/>
  <c r="X29" i="2" s="1"/>
  <c r="E29" i="2" s="1"/>
  <c r="G29" i="2" s="1"/>
  <c r="P34" i="2"/>
  <c r="P35" i="2" s="1"/>
  <c r="F5" i="2"/>
  <c r="W26" i="2" l="1"/>
  <c r="X26" i="2" s="1"/>
  <c r="E26" i="2" s="1"/>
  <c r="W27" i="2"/>
  <c r="X27" i="2" s="1"/>
  <c r="E27" i="2" s="1"/>
  <c r="G27" i="2" s="1"/>
  <c r="W28" i="2"/>
  <c r="X28" i="2" s="1"/>
  <c r="E28" i="2" s="1"/>
  <c r="G28" i="2" s="1"/>
  <c r="W30" i="2"/>
  <c r="X30" i="2" s="1"/>
  <c r="E30" i="2" s="1"/>
  <c r="G30" i="2" s="1"/>
  <c r="G26" i="2" l="1"/>
  <c r="G32" i="2" s="1"/>
  <c r="B10" i="4"/>
  <c r="B13" i="4" s="1"/>
  <c r="B19" i="4" s="1"/>
  <c r="E32" i="2"/>
</calcChain>
</file>

<file path=xl/sharedStrings.xml><?xml version="1.0" encoding="utf-8"?>
<sst xmlns="http://schemas.openxmlformats.org/spreadsheetml/2006/main" count="131" uniqueCount="67">
  <si>
    <t>Total</t>
  </si>
  <si>
    <t>Per SCH</t>
  </si>
  <si>
    <t>Tuition</t>
  </si>
  <si>
    <t>Inputs</t>
  </si>
  <si>
    <t>Undergrad</t>
  </si>
  <si>
    <t>Grad</t>
  </si>
  <si>
    <t>Δ SCH</t>
  </si>
  <si>
    <t xml:space="preserve">  State Appropriations</t>
  </si>
  <si>
    <t xml:space="preserve">  Tuition - Undergraduate</t>
  </si>
  <si>
    <t xml:space="preserve">  Tuition - Graduate</t>
  </si>
  <si>
    <t xml:space="preserve">  Revenue to be distributed</t>
  </si>
  <si>
    <t xml:space="preserve">  Three year credit hour average</t>
  </si>
  <si>
    <t xml:space="preserve">  Three year degree average</t>
  </si>
  <si>
    <t xml:space="preserve">  Percent Teaching Dept</t>
  </si>
  <si>
    <t>Degrees</t>
  </si>
  <si>
    <t>Available for Distribution</t>
  </si>
  <si>
    <t>Distribution Info</t>
  </si>
  <si>
    <t>Credit Hours</t>
  </si>
  <si>
    <t>UG</t>
  </si>
  <si>
    <t>GR</t>
  </si>
  <si>
    <t>Academic Unit</t>
  </si>
  <si>
    <t>New Funding (+/-)</t>
  </si>
  <si>
    <t>State Appropriations</t>
  </si>
  <si>
    <t>Fee Increase 1.2%</t>
  </si>
  <si>
    <t>Total Available</t>
  </si>
  <si>
    <t>Required Expenses</t>
  </si>
  <si>
    <t xml:space="preserve">  1% Salary Pool</t>
  </si>
  <si>
    <t xml:space="preserve">  Scholarships</t>
  </si>
  <si>
    <t>A</t>
  </si>
  <si>
    <t xml:space="preserve">Administrative Decision for </t>
  </si>
  <si>
    <t xml:space="preserve">  Additional 1% Salary Pool</t>
  </si>
  <si>
    <t>B</t>
  </si>
  <si>
    <t>Distribution</t>
  </si>
  <si>
    <t>Distribution Data</t>
  </si>
  <si>
    <t>Hours</t>
  </si>
  <si>
    <t>Last Year</t>
  </si>
  <si>
    <t>Base</t>
  </si>
  <si>
    <t>2016-17</t>
  </si>
  <si>
    <t>July Base</t>
  </si>
  <si>
    <t>Entrepreneurial</t>
  </si>
  <si>
    <t xml:space="preserve">Adjusted </t>
  </si>
  <si>
    <t>New Base</t>
  </si>
  <si>
    <t xml:space="preserve">Entrepreneurial </t>
  </si>
  <si>
    <t>College A</t>
  </si>
  <si>
    <t>College B</t>
  </si>
  <si>
    <t>College C</t>
  </si>
  <si>
    <t>College D</t>
  </si>
  <si>
    <t>College E</t>
  </si>
  <si>
    <t>Additional 1% Salary Pool</t>
  </si>
  <si>
    <t>2016-17 Ending Base</t>
  </si>
  <si>
    <t>80% Entrepreneurial</t>
  </si>
  <si>
    <t>based on 3-year average</t>
  </si>
  <si>
    <t>estimated</t>
  </si>
  <si>
    <t>Beginning Base 2017-18</t>
  </si>
  <si>
    <t>Reconcile:</t>
  </si>
  <si>
    <t>Δ SCH 2017-18 vs. 2016-17</t>
  </si>
  <si>
    <t>October  2017-18 Budget</t>
  </si>
  <si>
    <t>Actual Entrepreneurial</t>
  </si>
  <si>
    <t>March 2017-18 Budget</t>
  </si>
  <si>
    <t xml:space="preserve">Starting point for 2018-19 base </t>
  </si>
  <si>
    <t>Spring actuals</t>
  </si>
  <si>
    <t>Unallocated State Appr. &amp; Tuition Price</t>
  </si>
  <si>
    <t>Actual Unallocated State Appr. &amp; Tuition Price</t>
  </si>
  <si>
    <t>2017-18</t>
  </si>
  <si>
    <t>Budget Oversight Allocation</t>
  </si>
  <si>
    <t>Available for Allocation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</si>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</sst>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40" fontId="0" fillId="0" borderId="0" xfId="0" applyNumberFormat="1"/>
    <xf numFmtId="40" fontId="0" fillId="0" borderId="1" xfId="2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40" fontId="0" fillId="0" borderId="1" xfId="0" applyNumberFormat="1" applyBorder="1"/>
    <xf numFmtId="40" fontId="0" fillId="0" borderId="7" xfId="2" applyNumberFormat="1" applyFont="1" applyBorder="1" applyAlignment="1">
      <alignment horizontal="center"/>
    </xf>
    <xf numFmtId="40" fontId="0" fillId="0" borderId="8" xfId="2" applyNumberFormat="1" applyFont="1" applyBorder="1" applyAlignment="1">
      <alignment horizontal="center"/>
    </xf>
    <xf numFmtId="40" fontId="0" fillId="0" borderId="0" xfId="2" applyNumberFormat="1" applyFont="1" applyBorder="1" applyAlignment="1">
      <alignment horizontal="center"/>
    </xf>
    <xf numFmtId="40" fontId="0" fillId="0" borderId="4" xfId="2" applyNumberFormat="1" applyFont="1" applyBorder="1" applyAlignment="1">
      <alignment horizontal="center"/>
    </xf>
    <xf numFmtId="40" fontId="0" fillId="0" borderId="11" xfId="2" applyNumberFormat="1" applyFont="1" applyBorder="1" applyAlignment="1">
      <alignment horizontal="center"/>
    </xf>
    <xf numFmtId="164" fontId="0" fillId="0" borderId="0" xfId="2" applyNumberFormat="1" applyFont="1"/>
    <xf numFmtId="40" fontId="0" fillId="0" borderId="0" xfId="0" applyNumberFormat="1" applyAlignment="1">
      <alignment horizontal="center"/>
    </xf>
    <xf numFmtId="164" fontId="0" fillId="0" borderId="1" xfId="2" applyNumberFormat="1" applyFont="1" applyBorder="1"/>
    <xf numFmtId="0" fontId="3" fillId="0" borderId="0" xfId="0" applyFont="1"/>
    <xf numFmtId="0" fontId="0" fillId="0" borderId="0" xfId="0" applyAlignment="1">
      <alignment horizontal="center"/>
    </xf>
    <xf numFmtId="164" fontId="0" fillId="0" borderId="3" xfId="2" applyNumberFormat="1" applyFont="1" applyBorder="1"/>
    <xf numFmtId="164" fontId="0" fillId="0" borderId="9" xfId="2" applyNumberFormat="1" applyFont="1" applyBorder="1"/>
    <xf numFmtId="164" fontId="0" fillId="0" borderId="10" xfId="2" applyNumberFormat="1" applyFont="1" applyBorder="1"/>
    <xf numFmtId="164" fontId="0" fillId="0" borderId="11" xfId="2" applyNumberFormat="1" applyFont="1" applyBorder="1"/>
    <xf numFmtId="40" fontId="0" fillId="0" borderId="0" xfId="2" applyNumberFormat="1" applyFont="1" applyAlignment="1">
      <alignment horizontal="center"/>
    </xf>
    <xf numFmtId="40" fontId="0" fillId="0" borderId="0" xfId="1" applyNumberFormat="1" applyFont="1" applyAlignment="1">
      <alignment horizontal="center"/>
    </xf>
    <xf numFmtId="40" fontId="0" fillId="0" borderId="1" xfId="0" applyNumberFormat="1" applyBorder="1" applyAlignment="1">
      <alignment horizontal="center"/>
    </xf>
    <xf numFmtId="40" fontId="0" fillId="0" borderId="6" xfId="2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9" xfId="2" applyNumberFormat="1" applyFont="1" applyBorder="1" applyAlignment="1">
      <alignment horizontal="center"/>
    </xf>
    <xf numFmtId="40" fontId="0" fillId="0" borderId="12" xfId="2" applyNumberFormat="1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40" fontId="0" fillId="0" borderId="10" xfId="2" applyNumberFormat="1" applyFont="1" applyBorder="1" applyAlignment="1">
      <alignment horizontal="center"/>
    </xf>
    <xf numFmtId="40" fontId="0" fillId="0" borderId="0" xfId="0" applyNumberFormat="1" applyAlignment="1">
      <alignment horizontal="center"/>
    </xf>
    <xf numFmtId="164" fontId="0" fillId="0" borderId="4" xfId="2" applyNumberFormat="1" applyFont="1" applyBorder="1" applyAlignment="1">
      <alignment horizontal="center"/>
    </xf>
    <xf numFmtId="164" fontId="0" fillId="0" borderId="5" xfId="2" applyNumberFormat="1" applyFont="1" applyBorder="1" applyAlignment="1">
      <alignment horizontal="center"/>
    </xf>
    <xf numFmtId="164" fontId="0" fillId="0" borderId="10" xfId="2" applyNumberFormat="1" applyFont="1" applyBorder="1" applyAlignment="1">
      <alignment horizontal="center"/>
    </xf>
    <xf numFmtId="164" fontId="0" fillId="0" borderId="11" xfId="2" applyNumberFormat="1" applyFont="1" applyBorder="1" applyAlignment="1">
      <alignment horizontal="center"/>
    </xf>
    <xf numFmtId="164" fontId="0" fillId="0" borderId="11" xfId="2" applyNumberFormat="1" applyFont="1" applyBorder="1" applyAlignment="1"/>
    <xf numFmtId="164" fontId="0" fillId="0" borderId="10" xfId="2" applyNumberFormat="1" applyFont="1" applyBorder="1" applyAlignment="1"/>
    <xf numFmtId="164" fontId="0" fillId="0" borderId="12" xfId="2" applyNumberFormat="1" applyFont="1" applyBorder="1"/>
    <xf numFmtId="9" fontId="0" fillId="0" borderId="9" xfId="2" applyNumberFormat="1" applyFont="1" applyBorder="1"/>
    <xf numFmtId="9" fontId="0" fillId="0" borderId="10" xfId="2" applyNumberFormat="1" applyFont="1" applyBorder="1"/>
    <xf numFmtId="9" fontId="0" fillId="0" borderId="12" xfId="2" applyNumberFormat="1" applyFont="1" applyBorder="1"/>
    <xf numFmtId="9" fontId="0" fillId="0" borderId="11" xfId="2" applyNumberFormat="1" applyFont="1" applyBorder="1"/>
    <xf numFmtId="9" fontId="0" fillId="0" borderId="5" xfId="2" applyNumberFormat="1" applyFont="1" applyBorder="1"/>
    <xf numFmtId="9" fontId="0" fillId="0" borderId="9" xfId="2" applyNumberFormat="1" applyFont="1" applyBorder="1" applyAlignment="1">
      <alignment horizontal="center"/>
    </xf>
    <xf numFmtId="9" fontId="0" fillId="0" borderId="12" xfId="2" applyNumberFormat="1" applyFont="1" applyBorder="1" applyAlignment="1">
      <alignment horizontal="center"/>
    </xf>
    <xf numFmtId="9" fontId="0" fillId="0" borderId="10" xfId="2" applyNumberFormat="1" applyFont="1" applyBorder="1" applyAlignment="1">
      <alignment horizontal="center"/>
    </xf>
    <xf numFmtId="9" fontId="0" fillId="0" borderId="5" xfId="2" applyNumberFormat="1" applyFont="1" applyBorder="1" applyAlignment="1">
      <alignment horizontal="center"/>
    </xf>
    <xf numFmtId="9" fontId="0" fillId="0" borderId="4" xfId="2" applyNumberFormat="1" applyFont="1" applyBorder="1" applyAlignment="1">
      <alignment horizontal="center"/>
    </xf>
    <xf numFmtId="40" fontId="0" fillId="0" borderId="0" xfId="0" applyNumberFormat="1" applyAlignment="1">
      <alignment horizontal="center"/>
    </xf>
    <xf numFmtId="44" fontId="0" fillId="0" borderId="0" xfId="0" applyNumberFormat="1"/>
    <xf numFmtId="0" fontId="0" fillId="0" borderId="0" xfId="0" applyAlignment="1">
      <alignment horizontal="right"/>
    </xf>
    <xf numFmtId="44" fontId="0" fillId="0" borderId="1" xfId="0" applyNumberFormat="1" applyBorder="1"/>
    <xf numFmtId="40" fontId="0" fillId="0" borderId="0" xfId="0" applyNumberFormat="1" applyFill="1" applyAlignment="1">
      <alignment horizontal="center"/>
    </xf>
    <xf numFmtId="40" fontId="0" fillId="0" borderId="0" xfId="2" applyNumberFormat="1" applyFont="1" applyFill="1" applyAlignment="1">
      <alignment horizontal="center"/>
    </xf>
    <xf numFmtId="0" fontId="0" fillId="0" borderId="0" xfId="0" applyAlignment="1">
      <alignment horizontal="left"/>
    </xf>
    <xf numFmtId="40" fontId="0" fillId="0" borderId="0" xfId="0" applyNumberFormat="1" applyAlignment="1">
      <alignment horizontal="center"/>
    </xf>
    <xf numFmtId="40" fontId="0" fillId="0" borderId="4" xfId="2" applyNumberFormat="1" applyFont="1" applyBorder="1" applyAlignment="1">
      <alignment horizontal="center"/>
    </xf>
    <xf numFmtId="40" fontId="0" fillId="0" borderId="2" xfId="2" applyNumberFormat="1" applyFont="1" applyBorder="1" applyAlignment="1">
      <alignment horizontal="center"/>
    </xf>
    <xf numFmtId="40" fontId="0" fillId="0" borderId="5" xfId="2" applyNumberFormat="1" applyFont="1" applyBorder="1" applyAlignment="1">
      <alignment horizontal="center"/>
    </xf>
    <xf numFmtId="40" fontId="0" fillId="0" borderId="0" xfId="0" applyNumberFormat="1" applyAlignment="1">
      <alignment horizontal="center"/>
    </xf>
    <xf numFmtId="40" fontId="2" fillId="0" borderId="1" xfId="0" applyNumberFormat="1" applyFont="1" applyBorder="1" applyAlignment="1">
      <alignment horizontal="center"/>
    </xf>
    <xf numFmtId="164" fontId="0" fillId="0" borderId="4" xfId="2" applyNumberFormat="1" applyFont="1" applyBorder="1" applyAlignment="1">
      <alignment horizontal="center"/>
    </xf>
    <xf numFmtId="164" fontId="0" fillId="0" borderId="5" xfId="2" applyNumberFormat="1" applyFont="1" applyBorder="1" applyAlignment="1">
      <alignment horizontal="center"/>
    </xf>
    <xf numFmtId="40" fontId="1" fillId="0" borderId="9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40" fontId="0" fillId="0" borderId="10" xfId="2" applyNumberFormat="1" applyFont="1" applyBorder="1" applyAlignment="1">
      <alignment horizontal="center"/>
    </xf>
    <xf numFmtId="40" fontId="0" fillId="0" borderId="1" xfId="2" applyNumberFormat="1" applyFont="1" applyBorder="1" applyAlignment="1">
      <alignment horizontal="center"/>
    </xf>
    <xf numFmtId="40" fontId="0" fillId="0" borderId="1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381000</xdr:colOff>
      <xdr:row>4</xdr:row>
      <xdr:rowOff>76199</xdr:rowOff>
    </xdr:from>
    <xdr:ext cx="5067300" cy="953466"/>
    <xdr:sp macro="" textlink="">
      <xdr:nvSpPr>
        <xdr:cNvPr id="2" name="TextBox 1"/>
        <xdr:cNvSpPr txBox="1"/>
      </xdr:nvSpPr>
      <xdr:spPr>
        <a:xfrm>
          <a:off x="7096125" y="838199"/>
          <a:ext cx="5067300" cy="953466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These</a:t>
          </a:r>
          <a:r>
            <a:rPr lang="en-US" sz="1100" baseline="0"/>
            <a:t> are mock colleges and bear no resemblance to any actual college. The purpose of this illustration is to show the process of the proposed base to base model. Colleges A and D both show a change in credit hours produced (</a:t>
          </a:r>
          <a:r>
            <a:rPr lang="el-GR" sz="1100" baseline="0"/>
            <a:t>Δ</a:t>
          </a:r>
          <a:r>
            <a:rPr lang="en-US" sz="1100" baseline="0"/>
            <a:t> SCH). College A had a one percent in undergraduate hours and a two percent drop in graduate hours. College D had a two percent increase in undergraduate and graduate hours.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29.42578125" style="1" bestFit="1" customWidth="1"/>
    <col min="2" max="2" width="13.5703125" style="11" bestFit="1" customWidth="1"/>
    <col min="3" max="3" width="15.140625" style="11" bestFit="1" customWidth="1"/>
    <col min="4" max="4" width="13.5703125" style="11" bestFit="1" customWidth="1"/>
    <col min="5" max="5" width="11.5703125" style="11" bestFit="1" customWidth="1"/>
    <col min="6" max="6" width="17.42578125" style="11" bestFit="1" customWidth="1"/>
    <col min="7" max="7" width="13.5703125" style="11" bestFit="1" customWidth="1"/>
    <col min="8" max="8" width="10.140625" style="29" bestFit="1" customWidth="1"/>
    <col min="9" max="10" width="10.85546875" style="11" bestFit="1" customWidth="1"/>
    <col min="11" max="11" width="3.140625" style="11" customWidth="1"/>
    <col min="12" max="12" width="7.28515625" style="11" bestFit="1" customWidth="1"/>
    <col min="13" max="13" width="8.85546875" style="11" bestFit="1" customWidth="1"/>
    <col min="14" max="16" width="10.85546875" style="11" bestFit="1" customWidth="1"/>
    <col min="17" max="17" width="2.7109375" style="11" customWidth="1"/>
    <col min="18" max="18" width="7.28515625" style="11" bestFit="1" customWidth="1"/>
    <col min="19" max="19" width="8.85546875" style="11" bestFit="1" customWidth="1"/>
    <col min="20" max="20" width="9.5703125" style="11" bestFit="1" customWidth="1"/>
    <col min="21" max="21" width="8" style="11" bestFit="1" customWidth="1"/>
    <col min="22" max="22" width="11.5703125" style="11" bestFit="1" customWidth="1"/>
    <col min="23" max="23" width="10.5703125" style="11" bestFit="1" customWidth="1"/>
    <col min="24" max="24" width="11.5703125" style="11" bestFit="1" customWidth="1"/>
    <col min="25" max="16384" width="9.140625" style="1"/>
  </cols>
  <sheetData>
    <row r="1" spans="1:24" x14ac:dyDescent="0.25">
      <c r="E1" s="58" t="s">
        <v>1</v>
      </c>
      <c r="F1" s="58"/>
      <c r="H1" s="11"/>
      <c r="V1" s="1"/>
      <c r="W1" s="1"/>
      <c r="X1" s="1"/>
    </row>
    <row r="2" spans="1:24" x14ac:dyDescent="0.25">
      <c r="A2" s="1" t="s">
        <v>3</v>
      </c>
      <c r="B2" s="2" t="s">
        <v>0</v>
      </c>
      <c r="C2" s="2" t="s">
        <v>4</v>
      </c>
      <c r="D2" s="2" t="s">
        <v>5</v>
      </c>
      <c r="E2" s="2" t="s">
        <v>4</v>
      </c>
      <c r="F2" s="2" t="s">
        <v>5</v>
      </c>
      <c r="H2" s="11"/>
      <c r="V2" s="1"/>
      <c r="W2" s="1"/>
      <c r="X2" s="1"/>
    </row>
    <row r="3" spans="1:24" x14ac:dyDescent="0.25">
      <c r="A3" s="1" t="s">
        <v>7</v>
      </c>
      <c r="B3" s="19">
        <f>44000000*0.3</f>
        <v>13200000</v>
      </c>
      <c r="C3" s="19">
        <f>ROUND((B4/(B4+B5))*B3,-2)</f>
        <v>10560000</v>
      </c>
      <c r="D3" s="19">
        <f>+B3-C3</f>
        <v>2640000</v>
      </c>
      <c r="H3" s="11"/>
      <c r="V3" s="1"/>
      <c r="W3" s="1"/>
      <c r="X3" s="1"/>
    </row>
    <row r="4" spans="1:24" x14ac:dyDescent="0.25">
      <c r="A4" s="1" t="s">
        <v>8</v>
      </c>
      <c r="B4" s="19">
        <f>44000000*0.7*0.8</f>
        <v>24640000</v>
      </c>
      <c r="C4" s="19">
        <f>B4</f>
        <v>24640000</v>
      </c>
      <c r="D4" s="19"/>
      <c r="E4" s="51">
        <f>C4/I34</f>
        <v>147.94356049234463</v>
      </c>
      <c r="F4" s="51"/>
      <c r="H4" s="11"/>
      <c r="V4" s="1"/>
      <c r="W4" s="1"/>
      <c r="X4" s="1"/>
    </row>
    <row r="5" spans="1:24" x14ac:dyDescent="0.25">
      <c r="A5" s="1" t="s">
        <v>9</v>
      </c>
      <c r="B5" s="19">
        <f>44000000*0.7*0.2</f>
        <v>6160000</v>
      </c>
      <c r="C5" s="19"/>
      <c r="D5" s="19">
        <f>B5</f>
        <v>6160000</v>
      </c>
      <c r="E5" s="51"/>
      <c r="F5" s="51">
        <f>D5/J34</f>
        <v>237.37957610789979</v>
      </c>
      <c r="H5" s="11"/>
      <c r="V5" s="1"/>
      <c r="W5" s="1"/>
      <c r="X5" s="1"/>
    </row>
    <row r="6" spans="1:24" x14ac:dyDescent="0.25">
      <c r="A6" s="1" t="s">
        <v>10</v>
      </c>
      <c r="B6" s="19">
        <f>+B3+B4+B5</f>
        <v>44000000</v>
      </c>
      <c r="C6" s="19">
        <f>+C3+C4+C5</f>
        <v>35200000</v>
      </c>
      <c r="D6" s="19">
        <f>+D3+D4+D5</f>
        <v>8800000</v>
      </c>
      <c r="H6" s="11"/>
      <c r="V6" s="1"/>
      <c r="W6" s="1"/>
      <c r="X6" s="1"/>
    </row>
    <row r="7" spans="1:24" x14ac:dyDescent="0.25">
      <c r="A7" s="1" t="s">
        <v>11</v>
      </c>
      <c r="B7" s="19">
        <f>ROUND(B6*$B$9,-2)</f>
        <v>30800000</v>
      </c>
      <c r="C7" s="19">
        <f>ROUND(C6*$B$9,-2)</f>
        <v>24640000</v>
      </c>
      <c r="D7" s="19">
        <f>ROUND(D6*$B$9,-2)</f>
        <v>6160000</v>
      </c>
      <c r="H7" s="11"/>
      <c r="V7" s="1"/>
      <c r="W7" s="1"/>
      <c r="X7" s="1"/>
    </row>
    <row r="8" spans="1:24" x14ac:dyDescent="0.25">
      <c r="A8" s="1" t="s">
        <v>12</v>
      </c>
      <c r="B8" s="19">
        <f>+B6-B7</f>
        <v>13200000</v>
      </c>
      <c r="C8" s="19">
        <f>+C6-C7</f>
        <v>10560000</v>
      </c>
      <c r="D8" s="19">
        <f>+D6-D7</f>
        <v>2640000</v>
      </c>
      <c r="H8" s="11"/>
      <c r="V8" s="1"/>
      <c r="W8" s="1"/>
      <c r="X8" s="1"/>
    </row>
    <row r="9" spans="1:24" x14ac:dyDescent="0.25">
      <c r="A9" s="1" t="s">
        <v>13</v>
      </c>
      <c r="B9" s="20">
        <v>0.7</v>
      </c>
      <c r="C9" s="19"/>
      <c r="D9" s="19"/>
      <c r="H9" s="11"/>
      <c r="V9" s="1"/>
      <c r="W9" s="1"/>
      <c r="X9" s="1"/>
    </row>
    <row r="10" spans="1:24" x14ac:dyDescent="0.25">
      <c r="A10" s="1" t="s">
        <v>14</v>
      </c>
      <c r="B10" s="20">
        <v>0.3</v>
      </c>
      <c r="C10" s="19"/>
      <c r="D10" s="19"/>
      <c r="H10" s="11"/>
      <c r="V10" s="1"/>
      <c r="W10" s="1"/>
      <c r="X10" s="1"/>
    </row>
    <row r="11" spans="1:24" x14ac:dyDescent="0.25">
      <c r="B11" s="19"/>
      <c r="C11" s="19"/>
      <c r="D11" s="19"/>
      <c r="H11" s="11"/>
      <c r="V11" s="1"/>
      <c r="W11" s="1"/>
      <c r="X11" s="1"/>
    </row>
    <row r="12" spans="1:24" x14ac:dyDescent="0.25">
      <c r="B12" s="20"/>
      <c r="C12" s="19"/>
      <c r="D12" s="19"/>
      <c r="H12" s="11"/>
      <c r="V12" s="1"/>
      <c r="W12" s="1"/>
      <c r="X12" s="1"/>
    </row>
    <row r="13" spans="1:24" x14ac:dyDescent="0.25">
      <c r="B13" s="20"/>
      <c r="C13" s="52"/>
      <c r="D13" s="52"/>
      <c r="E13" s="51"/>
      <c r="H13" s="11"/>
      <c r="V13" s="1"/>
      <c r="W13" s="1"/>
      <c r="X13" s="1"/>
    </row>
    <row r="14" spans="1:24" x14ac:dyDescent="0.25">
      <c r="G14" s="29"/>
      <c r="H14" s="11"/>
      <c r="W14" s="1"/>
      <c r="X14" s="1"/>
    </row>
    <row r="15" spans="1:24" x14ac:dyDescent="0.25">
      <c r="A15" s="1" t="s">
        <v>42</v>
      </c>
      <c r="B15" s="11">
        <v>1946255.75</v>
      </c>
    </row>
    <row r="20" spans="1:25" ht="18.75" x14ac:dyDescent="0.3">
      <c r="I20" s="59" t="s">
        <v>37</v>
      </c>
      <c r="J20" s="59"/>
      <c r="K20" s="59"/>
      <c r="L20" s="59"/>
      <c r="M20" s="59"/>
      <c r="O20" s="59" t="s">
        <v>63</v>
      </c>
      <c r="P20" s="59"/>
      <c r="Q20" s="59"/>
      <c r="R20" s="59"/>
      <c r="S20" s="59"/>
      <c r="Y20" s="11"/>
    </row>
    <row r="21" spans="1:25" x14ac:dyDescent="0.25">
      <c r="I21" s="55" t="s">
        <v>16</v>
      </c>
      <c r="J21" s="56"/>
      <c r="K21" s="56"/>
      <c r="L21" s="56"/>
      <c r="M21" s="57"/>
      <c r="O21" s="55" t="s">
        <v>16</v>
      </c>
      <c r="P21" s="56"/>
      <c r="Q21" s="56"/>
      <c r="R21" s="56"/>
      <c r="S21" s="57"/>
      <c r="Y21" s="11"/>
    </row>
    <row r="22" spans="1:25" x14ac:dyDescent="0.25">
      <c r="I22" s="22"/>
      <c r="J22" s="7"/>
      <c r="K22" s="7"/>
      <c r="L22" s="5"/>
      <c r="M22" s="6"/>
      <c r="N22" s="7"/>
      <c r="O22" s="22"/>
      <c r="P22" s="7"/>
      <c r="Q22" s="7"/>
      <c r="R22" s="5"/>
      <c r="S22" s="6"/>
      <c r="T22" s="62" t="s">
        <v>6</v>
      </c>
      <c r="U22" s="63"/>
      <c r="V22" s="58" t="s">
        <v>2</v>
      </c>
      <c r="W22" s="58"/>
      <c r="Y22" s="11"/>
    </row>
    <row r="23" spans="1:25" x14ac:dyDescent="0.25">
      <c r="I23" s="64" t="s">
        <v>17</v>
      </c>
      <c r="J23" s="65"/>
      <c r="K23" s="7"/>
      <c r="L23" s="65" t="s">
        <v>14</v>
      </c>
      <c r="M23" s="66"/>
      <c r="N23" s="7"/>
      <c r="O23" s="64" t="s">
        <v>17</v>
      </c>
      <c r="P23" s="65"/>
      <c r="Q23" s="7"/>
      <c r="R23" s="65" t="s">
        <v>14</v>
      </c>
      <c r="S23" s="66"/>
      <c r="T23" s="64" t="s">
        <v>17</v>
      </c>
      <c r="U23" s="65"/>
      <c r="V23" s="11" t="s">
        <v>18</v>
      </c>
      <c r="W23" s="11" t="s">
        <v>19</v>
      </c>
      <c r="Y23" s="11"/>
    </row>
    <row r="24" spans="1:25" x14ac:dyDescent="0.25">
      <c r="B24" s="11" t="s">
        <v>37</v>
      </c>
      <c r="C24" s="23">
        <v>0.8</v>
      </c>
      <c r="D24" s="23" t="s">
        <v>40</v>
      </c>
      <c r="I24" s="8" t="s">
        <v>18</v>
      </c>
      <c r="J24" s="2" t="s">
        <v>5</v>
      </c>
      <c r="K24" s="7"/>
      <c r="L24" s="2" t="s">
        <v>18</v>
      </c>
      <c r="M24" s="9" t="s">
        <v>19</v>
      </c>
      <c r="O24" s="8" t="s">
        <v>18</v>
      </c>
      <c r="P24" s="2" t="s">
        <v>5</v>
      </c>
      <c r="Q24" s="7"/>
      <c r="R24" s="2" t="s">
        <v>18</v>
      </c>
      <c r="S24" s="9" t="s">
        <v>19</v>
      </c>
      <c r="T24" s="8" t="s">
        <v>18</v>
      </c>
      <c r="U24" s="2" t="s">
        <v>5</v>
      </c>
      <c r="V24" s="24">
        <f>C4/I34</f>
        <v>147.94356049234463</v>
      </c>
      <c r="W24" s="21">
        <f>D5/J34</f>
        <v>237.37957610789979</v>
      </c>
      <c r="Y24" s="11"/>
    </row>
    <row r="25" spans="1:25" x14ac:dyDescent="0.25">
      <c r="A25" s="4" t="s">
        <v>20</v>
      </c>
      <c r="B25" s="21" t="s">
        <v>38</v>
      </c>
      <c r="C25" s="21" t="s">
        <v>39</v>
      </c>
      <c r="D25" s="21" t="s">
        <v>36</v>
      </c>
      <c r="E25" s="3" t="s">
        <v>6</v>
      </c>
      <c r="F25" s="21" t="s">
        <v>21</v>
      </c>
      <c r="G25" s="21" t="s">
        <v>41</v>
      </c>
      <c r="I25" s="25"/>
      <c r="J25" s="7"/>
      <c r="K25" s="7"/>
      <c r="L25" s="7"/>
      <c r="M25" s="26"/>
      <c r="O25" s="25"/>
      <c r="P25" s="7"/>
      <c r="Q25" s="7"/>
      <c r="R25" s="7"/>
      <c r="S25" s="26"/>
      <c r="Y25" s="11"/>
    </row>
    <row r="26" spans="1:25" x14ac:dyDescent="0.25">
      <c r="A26" s="1" t="s">
        <v>43</v>
      </c>
      <c r="B26" s="11">
        <v>10000000</v>
      </c>
      <c r="C26" s="11">
        <v>800000</v>
      </c>
      <c r="D26" s="11">
        <f>B26+C26</f>
        <v>10800000</v>
      </c>
      <c r="E26" s="11">
        <f>X26</f>
        <v>-164284.34007851739</v>
      </c>
      <c r="F26" s="27">
        <f>C52</f>
        <v>293396.22641509434</v>
      </c>
      <c r="G26" s="29">
        <f>D26+E26+F26</f>
        <v>10929111.886336576</v>
      </c>
      <c r="I26" s="25">
        <v>95000</v>
      </c>
      <c r="J26" s="7">
        <v>5000</v>
      </c>
      <c r="K26" s="7"/>
      <c r="L26" s="7">
        <f>F52*0.78</f>
        <v>585</v>
      </c>
      <c r="M26" s="26">
        <f>F52*0.22</f>
        <v>165</v>
      </c>
      <c r="O26" s="25">
        <f>I26*0.99</f>
        <v>94050</v>
      </c>
      <c r="P26" s="7">
        <f>J26*0.98</f>
        <v>4900</v>
      </c>
      <c r="Q26" s="7"/>
      <c r="R26" s="7">
        <f>L26</f>
        <v>585</v>
      </c>
      <c r="S26" s="26">
        <f>M26</f>
        <v>165</v>
      </c>
      <c r="T26" s="11">
        <f t="shared" ref="T26:T30" si="0">O26-I26</f>
        <v>-950</v>
      </c>
      <c r="U26" s="11">
        <f t="shared" ref="U26:U30" si="1">P26-J26</f>
        <v>-100</v>
      </c>
      <c r="V26" s="11">
        <f>T26*$V$24</f>
        <v>-140546.38246772741</v>
      </c>
      <c r="W26" s="11">
        <f>U26*$W$24</f>
        <v>-23737.957610789981</v>
      </c>
      <c r="X26" s="11">
        <f>SUM(V26:W26)</f>
        <v>-164284.34007851739</v>
      </c>
      <c r="Y26" s="11"/>
    </row>
    <row r="27" spans="1:25" x14ac:dyDescent="0.25">
      <c r="A27" s="1" t="s">
        <v>44</v>
      </c>
      <c r="B27" s="11">
        <v>6000000</v>
      </c>
      <c r="C27" s="11">
        <v>600000</v>
      </c>
      <c r="D27" s="11">
        <f t="shared" ref="D27:D30" si="2">B27+C27</f>
        <v>6600000</v>
      </c>
      <c r="E27" s="11">
        <f>X27</f>
        <v>0</v>
      </c>
      <c r="F27" s="27">
        <f>C53</f>
        <v>137358.49056603771</v>
      </c>
      <c r="G27" s="47">
        <f t="shared" ref="G27:G30" si="3">D27+E27+F27</f>
        <v>6737358.4905660376</v>
      </c>
      <c r="I27" s="25">
        <v>46000</v>
      </c>
      <c r="J27" s="7">
        <v>4000</v>
      </c>
      <c r="K27" s="7"/>
      <c r="L27" s="7">
        <f>F53*0.74</f>
        <v>222</v>
      </c>
      <c r="M27" s="26">
        <v>78</v>
      </c>
      <c r="N27" s="47"/>
      <c r="O27" s="25">
        <f t="shared" ref="O27:P30" si="4">I27</f>
        <v>46000</v>
      </c>
      <c r="P27" s="7">
        <f t="shared" si="4"/>
        <v>4000</v>
      </c>
      <c r="Q27" s="7"/>
      <c r="R27" s="7">
        <f>L27</f>
        <v>222</v>
      </c>
      <c r="S27" s="26">
        <f>M27</f>
        <v>78</v>
      </c>
      <c r="T27" s="11">
        <f t="shared" si="0"/>
        <v>0</v>
      </c>
      <c r="U27" s="11">
        <f t="shared" si="1"/>
        <v>0</v>
      </c>
      <c r="V27" s="11">
        <f>T27*$V$24</f>
        <v>0</v>
      </c>
      <c r="W27" s="11">
        <f>U27*$W$24</f>
        <v>0</v>
      </c>
      <c r="X27" s="11">
        <f t="shared" ref="X27:X30" si="5">SUM(V27:W27)</f>
        <v>0</v>
      </c>
      <c r="Y27" s="11"/>
    </row>
    <row r="28" spans="1:25" x14ac:dyDescent="0.25">
      <c r="A28" s="1" t="s">
        <v>45</v>
      </c>
      <c r="B28" s="11">
        <v>500000</v>
      </c>
      <c r="C28" s="11">
        <v>20000</v>
      </c>
      <c r="D28" s="11">
        <f t="shared" si="2"/>
        <v>520000</v>
      </c>
      <c r="E28" s="11">
        <f>X28</f>
        <v>0</v>
      </c>
      <c r="F28" s="27">
        <f>C54</f>
        <v>14339.622641509433</v>
      </c>
      <c r="G28" s="47">
        <f t="shared" si="3"/>
        <v>534339.6226415094</v>
      </c>
      <c r="I28" s="25">
        <v>1675</v>
      </c>
      <c r="J28" s="7">
        <v>825</v>
      </c>
      <c r="K28" s="7"/>
      <c r="L28" s="7">
        <v>67</v>
      </c>
      <c r="M28" s="26">
        <v>8</v>
      </c>
      <c r="N28" s="47"/>
      <c r="O28" s="25">
        <f t="shared" si="4"/>
        <v>1675</v>
      </c>
      <c r="P28" s="7">
        <f t="shared" si="4"/>
        <v>825</v>
      </c>
      <c r="Q28" s="7"/>
      <c r="R28" s="7">
        <f t="shared" ref="R28:S30" si="6">L28</f>
        <v>67</v>
      </c>
      <c r="S28" s="26">
        <f t="shared" si="6"/>
        <v>8</v>
      </c>
      <c r="T28" s="11">
        <f t="shared" si="0"/>
        <v>0</v>
      </c>
      <c r="U28" s="11">
        <f t="shared" si="1"/>
        <v>0</v>
      </c>
      <c r="V28" s="11">
        <f>T28*$V$24</f>
        <v>0</v>
      </c>
      <c r="W28" s="11">
        <f>U28*$W$24</f>
        <v>0</v>
      </c>
      <c r="X28" s="11">
        <f t="shared" si="5"/>
        <v>0</v>
      </c>
      <c r="Y28" s="11"/>
    </row>
    <row r="29" spans="1:25" x14ac:dyDescent="0.25">
      <c r="A29" s="1" t="s">
        <v>46</v>
      </c>
      <c r="B29" s="11">
        <v>5000000</v>
      </c>
      <c r="C29" s="11">
        <v>500000</v>
      </c>
      <c r="D29" s="11">
        <f t="shared" si="2"/>
        <v>5500000</v>
      </c>
      <c r="E29" s="11">
        <f>X29</f>
        <v>136446.9348196917</v>
      </c>
      <c r="F29" s="27">
        <f>C55</f>
        <v>93679.24528301887</v>
      </c>
      <c r="G29" s="47">
        <f t="shared" si="3"/>
        <v>5730126.1801027106</v>
      </c>
      <c r="I29" s="25">
        <v>23250</v>
      </c>
      <c r="J29" s="7">
        <v>14250</v>
      </c>
      <c r="K29" s="7"/>
      <c r="L29" s="7">
        <v>57</v>
      </c>
      <c r="M29" s="26">
        <v>93</v>
      </c>
      <c r="N29" s="47"/>
      <c r="O29" s="25">
        <f>I29*1.02</f>
        <v>23715</v>
      </c>
      <c r="P29" s="7">
        <f>J29*1.02</f>
        <v>14535</v>
      </c>
      <c r="Q29" s="7"/>
      <c r="R29" s="7">
        <f t="shared" si="6"/>
        <v>57</v>
      </c>
      <c r="S29" s="26">
        <f t="shared" si="6"/>
        <v>93</v>
      </c>
      <c r="T29" s="11">
        <f t="shared" si="0"/>
        <v>465</v>
      </c>
      <c r="U29" s="11">
        <f t="shared" si="1"/>
        <v>285</v>
      </c>
      <c r="V29" s="11">
        <f>T29*$V$24</f>
        <v>68793.755628940256</v>
      </c>
      <c r="W29" s="11">
        <f>U29*$W$24</f>
        <v>67653.179190751442</v>
      </c>
      <c r="X29" s="11">
        <f t="shared" si="5"/>
        <v>136446.9348196917</v>
      </c>
      <c r="Y29" s="11"/>
    </row>
    <row r="30" spans="1:25" x14ac:dyDescent="0.25">
      <c r="A30" s="1" t="s">
        <v>47</v>
      </c>
      <c r="B30" s="11">
        <v>500000</v>
      </c>
      <c r="C30" s="11">
        <v>20000</v>
      </c>
      <c r="D30" s="11">
        <f t="shared" si="2"/>
        <v>520000</v>
      </c>
      <c r="E30" s="11">
        <f>X30</f>
        <v>0</v>
      </c>
      <c r="F30" s="27">
        <f>C56</f>
        <v>11226.415094339623</v>
      </c>
      <c r="G30" s="47">
        <f t="shared" si="3"/>
        <v>531226.41509433964</v>
      </c>
      <c r="I30" s="25">
        <v>625</v>
      </c>
      <c r="J30" s="7">
        <v>1875</v>
      </c>
      <c r="K30" s="7"/>
      <c r="L30" s="7">
        <v>12</v>
      </c>
      <c r="M30" s="26">
        <v>38</v>
      </c>
      <c r="N30" s="47"/>
      <c r="O30" s="25">
        <f t="shared" si="4"/>
        <v>625</v>
      </c>
      <c r="P30" s="7">
        <f t="shared" si="4"/>
        <v>1875</v>
      </c>
      <c r="Q30" s="7"/>
      <c r="R30" s="7">
        <f t="shared" si="6"/>
        <v>12</v>
      </c>
      <c r="S30" s="26">
        <f t="shared" si="6"/>
        <v>38</v>
      </c>
      <c r="T30" s="11">
        <f t="shared" si="0"/>
        <v>0</v>
      </c>
      <c r="U30" s="11">
        <f t="shared" si="1"/>
        <v>0</v>
      </c>
      <c r="V30" s="11">
        <f>T30*$V$24</f>
        <v>0</v>
      </c>
      <c r="W30" s="11">
        <f>U30*$W$24</f>
        <v>0</v>
      </c>
      <c r="X30" s="11">
        <f t="shared" si="5"/>
        <v>0</v>
      </c>
      <c r="Y30" s="11"/>
    </row>
    <row r="31" spans="1:25" x14ac:dyDescent="0.25">
      <c r="I31" s="25"/>
      <c r="J31" s="7"/>
      <c r="K31" s="7"/>
      <c r="L31" s="7"/>
      <c r="M31" s="26"/>
      <c r="O31" s="25"/>
      <c r="P31" s="7"/>
      <c r="Q31" s="7"/>
      <c r="R31" s="7"/>
      <c r="S31" s="26"/>
      <c r="Y31" s="11"/>
    </row>
    <row r="32" spans="1:25" x14ac:dyDescent="0.25">
      <c r="B32" s="11">
        <f>SUM(B26:B31)</f>
        <v>22000000</v>
      </c>
      <c r="C32" s="11">
        <f>SUM(C26:C31)</f>
        <v>1940000</v>
      </c>
      <c r="D32" s="11">
        <f>SUM(D26:D30)</f>
        <v>23940000</v>
      </c>
      <c r="E32" s="11">
        <f>SUM(E26:E30)</f>
        <v>-27837.405258825689</v>
      </c>
      <c r="F32" s="11">
        <f>SUM(F26:F31)</f>
        <v>550000</v>
      </c>
      <c r="G32" s="11">
        <f>SUM(G26:G30)</f>
        <v>24462162.594741169</v>
      </c>
      <c r="I32" s="25"/>
      <c r="J32" s="7"/>
      <c r="K32" s="7"/>
      <c r="L32" s="7"/>
      <c r="M32" s="26"/>
      <c r="O32" s="25"/>
      <c r="P32" s="7"/>
      <c r="Q32" s="7"/>
      <c r="R32" s="7"/>
      <c r="S32" s="26"/>
      <c r="Y32" s="11"/>
    </row>
    <row r="33" spans="1:25" x14ac:dyDescent="0.25">
      <c r="I33" s="25"/>
      <c r="J33" s="7"/>
      <c r="K33" s="7"/>
      <c r="L33" s="7"/>
      <c r="M33" s="26"/>
      <c r="O33" s="25"/>
      <c r="P33" s="7"/>
      <c r="Q33" s="7"/>
      <c r="R33" s="7"/>
      <c r="S33" s="26"/>
      <c r="Y33" s="11"/>
    </row>
    <row r="34" spans="1:25" x14ac:dyDescent="0.25">
      <c r="I34" s="28">
        <f>SUM(I26:I33)</f>
        <v>166550</v>
      </c>
      <c r="J34" s="2">
        <f>SUM(J26:J33)</f>
        <v>25950</v>
      </c>
      <c r="K34" s="2"/>
      <c r="L34" s="2">
        <f>SUM(L26:L33)</f>
        <v>943</v>
      </c>
      <c r="M34" s="9">
        <f>SUM(M26:M33)</f>
        <v>382</v>
      </c>
      <c r="O34" s="28">
        <f>SUM(O26:O33)</f>
        <v>166065</v>
      </c>
      <c r="P34" s="2">
        <f>SUM(P26:P33)</f>
        <v>26135</v>
      </c>
      <c r="Q34" s="2"/>
      <c r="R34" s="2">
        <f>SUM(R26:R33)</f>
        <v>943</v>
      </c>
      <c r="S34" s="9">
        <f>SUM(S26:S33)</f>
        <v>382</v>
      </c>
      <c r="T34" s="21"/>
      <c r="U34" s="21"/>
      <c r="V34" s="21"/>
      <c r="W34" s="21"/>
      <c r="X34" s="21"/>
      <c r="Y34" s="11"/>
    </row>
    <row r="35" spans="1:25" x14ac:dyDescent="0.25">
      <c r="I35" s="19"/>
      <c r="J35" s="19">
        <f>SUM(I34:J34)</f>
        <v>192500</v>
      </c>
      <c r="K35" s="19"/>
      <c r="L35" s="19"/>
      <c r="M35" s="19">
        <f>SUM(L34:M34)</f>
        <v>1325</v>
      </c>
      <c r="O35" s="19"/>
      <c r="P35" s="19">
        <f>SUM(O34:P34)</f>
        <v>192200</v>
      </c>
      <c r="Q35" s="19"/>
      <c r="R35" s="19"/>
      <c r="S35" s="19">
        <f>SUM(R34:S34)</f>
        <v>1325</v>
      </c>
      <c r="T35" s="11">
        <f>SUM(T26:T34)</f>
        <v>-485</v>
      </c>
      <c r="U35" s="11">
        <f>SUM(U26:U34)</f>
        <v>185</v>
      </c>
      <c r="V35" s="11">
        <f>SUM(V26:V34)</f>
        <v>-71752.626838787153</v>
      </c>
      <c r="W35" s="54">
        <f t="shared" ref="W35:X35" si="7">SUM(W26:W34)</f>
        <v>43915.221579961464</v>
      </c>
      <c r="X35" s="54">
        <f t="shared" si="7"/>
        <v>-27837.405258825689</v>
      </c>
      <c r="Y35" s="11"/>
    </row>
    <row r="36" spans="1:25" x14ac:dyDescent="0.25">
      <c r="A36" t="s">
        <v>22</v>
      </c>
      <c r="B36"/>
      <c r="C36" s="10">
        <v>1500000</v>
      </c>
      <c r="D36"/>
      <c r="E36"/>
      <c r="F36" s="10"/>
      <c r="G36"/>
      <c r="H36" s="14"/>
    </row>
    <row r="37" spans="1:25" x14ac:dyDescent="0.25">
      <c r="A37" t="s">
        <v>23</v>
      </c>
      <c r="B37"/>
      <c r="C37" s="12">
        <v>500000</v>
      </c>
      <c r="D37"/>
      <c r="E37"/>
      <c r="F37" s="10"/>
      <c r="G37"/>
      <c r="H37" s="14"/>
    </row>
    <row r="38" spans="1:25" x14ac:dyDescent="0.25">
      <c r="A38" t="s">
        <v>24</v>
      </c>
      <c r="B38"/>
      <c r="C38" s="10">
        <f>+C36+C37</f>
        <v>2000000</v>
      </c>
      <c r="D38"/>
      <c r="E38"/>
      <c r="F38" s="10"/>
      <c r="G38"/>
      <c r="H38" s="14"/>
    </row>
    <row r="39" spans="1:25" x14ac:dyDescent="0.25">
      <c r="A39"/>
      <c r="B39"/>
      <c r="C39" s="10"/>
      <c r="D39"/>
      <c r="E39"/>
      <c r="F39" s="10"/>
      <c r="G39"/>
      <c r="H39" s="14"/>
    </row>
    <row r="40" spans="1:25" x14ac:dyDescent="0.25">
      <c r="A40" s="13" t="s">
        <v>25</v>
      </c>
      <c r="B40"/>
      <c r="C40" s="10"/>
      <c r="D40"/>
      <c r="E40"/>
      <c r="F40" s="10"/>
      <c r="G40"/>
      <c r="H40" s="14"/>
    </row>
    <row r="41" spans="1:25" x14ac:dyDescent="0.25">
      <c r="A41" t="s">
        <v>26</v>
      </c>
      <c r="B41"/>
      <c r="C41" s="10">
        <v>500000</v>
      </c>
      <c r="D41"/>
      <c r="E41"/>
      <c r="F41" s="10"/>
      <c r="G41"/>
      <c r="H41" s="14"/>
    </row>
    <row r="42" spans="1:25" x14ac:dyDescent="0.25">
      <c r="A42" t="s">
        <v>27</v>
      </c>
      <c r="B42"/>
      <c r="C42" s="12">
        <v>200000</v>
      </c>
      <c r="D42"/>
      <c r="E42"/>
      <c r="F42" s="10"/>
      <c r="G42"/>
      <c r="H42" s="14"/>
    </row>
    <row r="43" spans="1:25" x14ac:dyDescent="0.25">
      <c r="A43" t="s">
        <v>65</v>
      </c>
      <c r="B43"/>
      <c r="C43" s="10">
        <f>+C38-C41-C42</f>
        <v>1300000</v>
      </c>
      <c r="D43" s="53" t="s">
        <v>28</v>
      </c>
      <c r="E43"/>
      <c r="F43" s="10"/>
      <c r="G43"/>
      <c r="H43" s="14"/>
    </row>
    <row r="44" spans="1:25" x14ac:dyDescent="0.25">
      <c r="A44"/>
      <c r="B44"/>
      <c r="C44" s="10"/>
      <c r="D44" s="14"/>
      <c r="E44"/>
      <c r="F44" s="10"/>
      <c r="G44"/>
      <c r="H44" s="14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5" x14ac:dyDescent="0.25">
      <c r="A45" t="s">
        <v>64</v>
      </c>
      <c r="B45"/>
      <c r="C45" s="10">
        <v>250000</v>
      </c>
      <c r="D45"/>
      <c r="E45"/>
      <c r="F45" s="10"/>
      <c r="G45"/>
      <c r="H45" s="14"/>
    </row>
    <row r="46" spans="1:25" x14ac:dyDescent="0.25">
      <c r="A46" t="s">
        <v>48</v>
      </c>
      <c r="B46"/>
      <c r="C46" s="12">
        <v>500000</v>
      </c>
      <c r="D46"/>
      <c r="E46"/>
      <c r="F46" s="10"/>
      <c r="G46"/>
      <c r="H46" s="14"/>
    </row>
    <row r="47" spans="1:25" ht="15.75" thickBot="1" x14ac:dyDescent="0.3">
      <c r="A47" t="s">
        <v>15</v>
      </c>
      <c r="B47"/>
      <c r="C47" s="15">
        <f>C43-C45-C46</f>
        <v>550000</v>
      </c>
      <c r="D47" s="53" t="s">
        <v>31</v>
      </c>
      <c r="E47"/>
      <c r="F47" s="10"/>
      <c r="G47"/>
      <c r="H47" s="14"/>
    </row>
    <row r="48" spans="1:25" ht="15.75" thickTop="1" x14ac:dyDescent="0.25">
      <c r="A48"/>
      <c r="B48"/>
      <c r="C48" s="10"/>
      <c r="D48"/>
      <c r="E48"/>
      <c r="F48"/>
      <c r="G48"/>
      <c r="H48" s="14"/>
    </row>
    <row r="49" spans="1:24" x14ac:dyDescent="0.25">
      <c r="A49"/>
      <c r="B49"/>
      <c r="C49" s="10"/>
      <c r="D49"/>
      <c r="E49" s="60" t="s">
        <v>33</v>
      </c>
      <c r="F49" s="61"/>
      <c r="G49" s="60" t="s">
        <v>33</v>
      </c>
      <c r="H49" s="61"/>
      <c r="X49" s="1"/>
    </row>
    <row r="50" spans="1:24" x14ac:dyDescent="0.25">
      <c r="A50"/>
      <c r="B50"/>
      <c r="C50" s="10"/>
      <c r="D50"/>
      <c r="E50" s="35" t="s">
        <v>34</v>
      </c>
      <c r="F50" s="34" t="s">
        <v>14</v>
      </c>
      <c r="G50" s="32" t="s">
        <v>34</v>
      </c>
      <c r="H50" s="33" t="s">
        <v>14</v>
      </c>
      <c r="X50" s="1"/>
    </row>
    <row r="51" spans="1:24" x14ac:dyDescent="0.25">
      <c r="A51" s="13" t="s">
        <v>32</v>
      </c>
      <c r="B51"/>
      <c r="C51"/>
      <c r="D51"/>
      <c r="E51" s="30" t="s">
        <v>35</v>
      </c>
      <c r="F51" s="31" t="s">
        <v>35</v>
      </c>
      <c r="G51" s="30" t="s">
        <v>35</v>
      </c>
      <c r="H51" s="31" t="s">
        <v>35</v>
      </c>
      <c r="X51" s="1"/>
    </row>
    <row r="52" spans="1:24" x14ac:dyDescent="0.25">
      <c r="A52" s="1" t="s">
        <v>43</v>
      </c>
      <c r="B52"/>
      <c r="C52" s="10">
        <f>($C$47*0.7*G52)+($C$47*0.3*H52)</f>
        <v>293396.22641509434</v>
      </c>
      <c r="D52"/>
      <c r="E52" s="16">
        <v>100000</v>
      </c>
      <c r="F52" s="36">
        <v>750</v>
      </c>
      <c r="G52" s="42">
        <f>E52/$E$57</f>
        <v>0.51948051948051943</v>
      </c>
      <c r="H52" s="43">
        <f>F52/$F$57</f>
        <v>0.56603773584905659</v>
      </c>
      <c r="X52" s="1"/>
    </row>
    <row r="53" spans="1:24" x14ac:dyDescent="0.25">
      <c r="A53" s="1" t="s">
        <v>44</v>
      </c>
      <c r="B53"/>
      <c r="C53" s="10">
        <f>($C$47*0.7*G53)+($C$47*0.3*H53)</f>
        <v>137358.49056603771</v>
      </c>
      <c r="D53"/>
      <c r="E53" s="16">
        <v>50000</v>
      </c>
      <c r="F53" s="36">
        <v>300</v>
      </c>
      <c r="G53" s="42">
        <f t="shared" ref="G53:G56" si="8">E53/$E$57</f>
        <v>0.25974025974025972</v>
      </c>
      <c r="H53" s="43">
        <f t="shared" ref="H53:H56" si="9">F53/$F$57</f>
        <v>0.22641509433962265</v>
      </c>
      <c r="X53" s="1"/>
    </row>
    <row r="54" spans="1:24" x14ac:dyDescent="0.25">
      <c r="A54" s="1" t="s">
        <v>45</v>
      </c>
      <c r="B54"/>
      <c r="C54" s="10">
        <f>($C$47*0.7*G54)+($C$47*0.3*H54)</f>
        <v>14339.622641509433</v>
      </c>
      <c r="D54"/>
      <c r="E54" s="16">
        <v>2500</v>
      </c>
      <c r="F54" s="36">
        <v>75</v>
      </c>
      <c r="G54" s="42">
        <f t="shared" si="8"/>
        <v>1.2987012987012988E-2</v>
      </c>
      <c r="H54" s="43">
        <f t="shared" si="9"/>
        <v>5.6603773584905662E-2</v>
      </c>
      <c r="X54" s="1"/>
    </row>
    <row r="55" spans="1:24" x14ac:dyDescent="0.25">
      <c r="A55" s="1" t="s">
        <v>46</v>
      </c>
      <c r="B55"/>
      <c r="C55" s="10">
        <f>($C$47*0.7*G55)+($C$47*0.3*H55)</f>
        <v>93679.24528301887</v>
      </c>
      <c r="D55"/>
      <c r="E55" s="16">
        <v>37500</v>
      </c>
      <c r="F55" s="36">
        <v>150</v>
      </c>
      <c r="G55" s="42">
        <f t="shared" si="8"/>
        <v>0.19480519480519481</v>
      </c>
      <c r="H55" s="43">
        <f t="shared" si="9"/>
        <v>0.11320754716981132</v>
      </c>
      <c r="X55" s="1"/>
    </row>
    <row r="56" spans="1:24" x14ac:dyDescent="0.25">
      <c r="A56" s="1" t="s">
        <v>47</v>
      </c>
      <c r="B56"/>
      <c r="C56" s="12">
        <f>($C$47*0.7*G56)+($C$47*0.3*H56)</f>
        <v>11226.415094339623</v>
      </c>
      <c r="D56"/>
      <c r="E56" s="17">
        <v>2500</v>
      </c>
      <c r="F56" s="18">
        <v>50</v>
      </c>
      <c r="G56" s="44">
        <f t="shared" si="8"/>
        <v>1.2987012987012988E-2</v>
      </c>
      <c r="H56" s="43">
        <f t="shared" si="9"/>
        <v>3.7735849056603772E-2</v>
      </c>
      <c r="X56" s="1"/>
    </row>
    <row r="57" spans="1:24" x14ac:dyDescent="0.25">
      <c r="A57"/>
      <c r="B57"/>
      <c r="C57" s="10">
        <f>SUM(C52:C56)</f>
        <v>550000</v>
      </c>
      <c r="D57"/>
      <c r="E57" s="17">
        <f>SUM(E52:E56)</f>
        <v>192500</v>
      </c>
      <c r="F57" s="18">
        <f>SUM(F52:F56)</f>
        <v>1325</v>
      </c>
      <c r="G57" s="46">
        <f>SUM(G52:G56)</f>
        <v>0.99999999999999989</v>
      </c>
      <c r="H57" s="45">
        <f>SUM(H52:H56)</f>
        <v>1</v>
      </c>
      <c r="X57" s="1"/>
    </row>
    <row r="58" spans="1:24" x14ac:dyDescent="0.25">
      <c r="G58" s="29"/>
      <c r="X58" s="1"/>
    </row>
  </sheetData>
  <mergeCells count="14">
    <mergeCell ref="E49:F49"/>
    <mergeCell ref="G49:H49"/>
    <mergeCell ref="T22:U22"/>
    <mergeCell ref="V22:W22"/>
    <mergeCell ref="I23:J23"/>
    <mergeCell ref="L23:M23"/>
    <mergeCell ref="O23:P23"/>
    <mergeCell ref="R23:S23"/>
    <mergeCell ref="T23:U23"/>
    <mergeCell ref="I21:M21"/>
    <mergeCell ref="O21:S21"/>
    <mergeCell ref="E1:F1"/>
    <mergeCell ref="I20:M20"/>
    <mergeCell ref="O20:S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B30" sqref="B30"/>
    </sheetView>
  </sheetViews>
  <sheetFormatPr defaultRowHeight="15" x14ac:dyDescent="0.25"/>
  <cols>
    <col min="1" max="1" width="26.140625" bestFit="1" customWidth="1"/>
    <col min="3" max="3" width="10.5703125" bestFit="1" customWidth="1"/>
    <col min="4" max="4" width="2.28515625" bestFit="1" customWidth="1"/>
    <col min="6" max="6" width="10.140625" bestFit="1" customWidth="1"/>
    <col min="8" max="8" width="10.140625" bestFit="1" customWidth="1"/>
  </cols>
  <sheetData>
    <row r="2" spans="1:9" x14ac:dyDescent="0.25">
      <c r="C2" s="10"/>
      <c r="F2" s="10"/>
    </row>
    <row r="3" spans="1:9" x14ac:dyDescent="0.25">
      <c r="A3" t="s">
        <v>22</v>
      </c>
      <c r="C3" s="10">
        <v>1500000</v>
      </c>
      <c r="F3" s="10"/>
    </row>
    <row r="4" spans="1:9" x14ac:dyDescent="0.25">
      <c r="A4" t="s">
        <v>23</v>
      </c>
      <c r="C4" s="12">
        <v>500000</v>
      </c>
      <c r="F4" s="10"/>
    </row>
    <row r="5" spans="1:9" x14ac:dyDescent="0.25">
      <c r="A5" t="s">
        <v>24</v>
      </c>
      <c r="C5" s="10">
        <f>+C3+C4</f>
        <v>2000000</v>
      </c>
      <c r="F5" s="10"/>
    </row>
    <row r="6" spans="1:9" x14ac:dyDescent="0.25">
      <c r="C6" s="10"/>
      <c r="F6" s="10"/>
    </row>
    <row r="7" spans="1:9" x14ac:dyDescent="0.25">
      <c r="A7" s="13" t="s">
        <v>25</v>
      </c>
      <c r="C7" s="10"/>
      <c r="F7" s="10"/>
    </row>
    <row r="8" spans="1:9" x14ac:dyDescent="0.25">
      <c r="A8" t="s">
        <v>26</v>
      </c>
      <c r="C8" s="10">
        <v>500000</v>
      </c>
      <c r="F8" s="10"/>
    </row>
    <row r="9" spans="1:9" x14ac:dyDescent="0.25">
      <c r="A9" t="s">
        <v>27</v>
      </c>
      <c r="C9" s="12">
        <v>200000</v>
      </c>
      <c r="F9" s="10"/>
    </row>
    <row r="10" spans="1:9" x14ac:dyDescent="0.25">
      <c r="A10" t="s">
        <v>15</v>
      </c>
      <c r="C10" s="10">
        <f>+C5-C8-C9</f>
        <v>1300000</v>
      </c>
      <c r="D10" s="14" t="s">
        <v>28</v>
      </c>
      <c r="F10" s="10"/>
    </row>
    <row r="11" spans="1:9" x14ac:dyDescent="0.25">
      <c r="A11" t="s">
        <v>29</v>
      </c>
      <c r="C11" s="10"/>
      <c r="F11" s="10"/>
    </row>
    <row r="12" spans="1:9" x14ac:dyDescent="0.25">
      <c r="A12" t="s">
        <v>30</v>
      </c>
      <c r="C12" s="12">
        <v>500000</v>
      </c>
      <c r="F12" s="10"/>
    </row>
    <row r="13" spans="1:9" ht="15.75" thickBot="1" x14ac:dyDescent="0.3">
      <c r="A13" t="s">
        <v>15</v>
      </c>
      <c r="C13" s="15">
        <f>+C10-C12</f>
        <v>800000</v>
      </c>
      <c r="D13" s="14" t="s">
        <v>31</v>
      </c>
      <c r="F13" s="10"/>
    </row>
    <row r="14" spans="1:9" ht="15.75" thickTop="1" x14ac:dyDescent="0.25">
      <c r="C14" s="10"/>
    </row>
    <row r="15" spans="1:9" x14ac:dyDescent="0.25">
      <c r="C15" s="10"/>
    </row>
    <row r="16" spans="1:9" x14ac:dyDescent="0.25">
      <c r="C16" s="10"/>
      <c r="E16" s="14"/>
      <c r="F16" s="60" t="s">
        <v>33</v>
      </c>
      <c r="G16" s="61"/>
      <c r="H16" s="60" t="s">
        <v>33</v>
      </c>
      <c r="I16" s="61"/>
    </row>
    <row r="17" spans="1:9" x14ac:dyDescent="0.25">
      <c r="C17" s="10"/>
      <c r="F17" s="35" t="s">
        <v>34</v>
      </c>
      <c r="G17" s="34" t="s">
        <v>14</v>
      </c>
      <c r="H17" s="35" t="s">
        <v>34</v>
      </c>
      <c r="I17" s="34" t="s">
        <v>14</v>
      </c>
    </row>
    <row r="18" spans="1:9" x14ac:dyDescent="0.25">
      <c r="A18" s="13" t="s">
        <v>32</v>
      </c>
      <c r="F18" s="30" t="s">
        <v>35</v>
      </c>
      <c r="G18" s="31" t="s">
        <v>35</v>
      </c>
      <c r="H18" s="30" t="s">
        <v>35</v>
      </c>
      <c r="I18" s="31" t="s">
        <v>35</v>
      </c>
    </row>
    <row r="19" spans="1:9" x14ac:dyDescent="0.25">
      <c r="A19" s="1" t="s">
        <v>43</v>
      </c>
      <c r="C19" s="10">
        <f>($C$13*0.7*H19)+($C$13*0.3*I19)</f>
        <v>426758.14751286444</v>
      </c>
      <c r="F19" s="16">
        <v>200000</v>
      </c>
      <c r="G19" s="36">
        <v>750</v>
      </c>
      <c r="H19" s="37">
        <f>F19/$F$24</f>
        <v>0.51948051948051943</v>
      </c>
      <c r="I19" s="39">
        <f>G19/$G$24</f>
        <v>0.56603773584905659</v>
      </c>
    </row>
    <row r="20" spans="1:9" x14ac:dyDescent="0.25">
      <c r="A20" s="1" t="s">
        <v>44</v>
      </c>
      <c r="C20" s="10">
        <f t="shared" ref="C20:C23" si="0">($C$13*0.7*H20)+($C$13*0.3*I20)</f>
        <v>199794.16809605487</v>
      </c>
      <c r="F20" s="16">
        <v>100000</v>
      </c>
      <c r="G20" s="36">
        <v>300</v>
      </c>
      <c r="H20" s="37">
        <f t="shared" ref="H20:H23" si="1">F20/$F$24</f>
        <v>0.25974025974025972</v>
      </c>
      <c r="I20" s="39">
        <f t="shared" ref="I20:I24" si="2">G20/$G$24</f>
        <v>0.22641509433962265</v>
      </c>
    </row>
    <row r="21" spans="1:9" x14ac:dyDescent="0.25">
      <c r="A21" s="1" t="s">
        <v>45</v>
      </c>
      <c r="C21" s="10">
        <f t="shared" si="0"/>
        <v>20857.632933104633</v>
      </c>
      <c r="F21" s="16">
        <v>5000</v>
      </c>
      <c r="G21" s="36">
        <v>75</v>
      </c>
      <c r="H21" s="37">
        <f t="shared" si="1"/>
        <v>1.2987012987012988E-2</v>
      </c>
      <c r="I21" s="39">
        <f t="shared" si="2"/>
        <v>5.6603773584905662E-2</v>
      </c>
    </row>
    <row r="22" spans="1:9" x14ac:dyDescent="0.25">
      <c r="A22" s="1" t="s">
        <v>46</v>
      </c>
      <c r="C22" s="10">
        <f t="shared" si="0"/>
        <v>136260.72041166382</v>
      </c>
      <c r="F22" s="16">
        <v>75000</v>
      </c>
      <c r="G22" s="36">
        <v>150</v>
      </c>
      <c r="H22" s="37">
        <f t="shared" si="1"/>
        <v>0.19480519480519481</v>
      </c>
      <c r="I22" s="39">
        <f t="shared" si="2"/>
        <v>0.11320754716981132</v>
      </c>
    </row>
    <row r="23" spans="1:9" x14ac:dyDescent="0.25">
      <c r="A23" s="1" t="s">
        <v>47</v>
      </c>
      <c r="C23" s="12">
        <f t="shared" si="0"/>
        <v>16329.331046312178</v>
      </c>
      <c r="F23" s="17">
        <v>5000</v>
      </c>
      <c r="G23" s="18">
        <v>50</v>
      </c>
      <c r="H23" s="38">
        <f t="shared" si="1"/>
        <v>1.2987012987012988E-2</v>
      </c>
      <c r="I23" s="40">
        <f t="shared" si="2"/>
        <v>3.7735849056603772E-2</v>
      </c>
    </row>
    <row r="24" spans="1:9" x14ac:dyDescent="0.25">
      <c r="C24" s="10">
        <f>SUM(C19:C23)</f>
        <v>800000.00000000012</v>
      </c>
      <c r="F24" s="17">
        <f>SUM(F19:F23)</f>
        <v>385000</v>
      </c>
      <c r="G24" s="18">
        <f>SUM(G19:G23)</f>
        <v>1325</v>
      </c>
      <c r="H24" s="38">
        <f>SUM(H19:H23)</f>
        <v>0.99999999999999989</v>
      </c>
      <c r="I24" s="41">
        <f t="shared" si="2"/>
        <v>1</v>
      </c>
    </row>
  </sheetData>
  <mergeCells count="2">
    <mergeCell ref="H16:I16"/>
    <mergeCell ref="F16:G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B17" sqref="B17"/>
    </sheetView>
  </sheetViews>
  <sheetFormatPr defaultRowHeight="15" x14ac:dyDescent="0.25"/>
  <cols>
    <col min="1" max="1" width="42.42578125" bestFit="1" customWidth="1"/>
    <col min="2" max="2" width="15.28515625" style="48" bestFit="1" customWidth="1"/>
    <col min="3" max="3" width="28.7109375" bestFit="1" customWidth="1"/>
  </cols>
  <sheetData>
    <row r="2" spans="1:3" x14ac:dyDescent="0.25">
      <c r="A2" s="67" t="s">
        <v>43</v>
      </c>
      <c r="B2" s="67"/>
    </row>
    <row r="3" spans="1:3" x14ac:dyDescent="0.25">
      <c r="A3" t="s">
        <v>49</v>
      </c>
      <c r="B3" s="48">
        <v>10000000</v>
      </c>
    </row>
    <row r="4" spans="1:3" x14ac:dyDescent="0.25">
      <c r="A4" t="s">
        <v>61</v>
      </c>
      <c r="B4" s="48">
        <f>'Base to Base'!F26</f>
        <v>293396.22641509434</v>
      </c>
      <c r="C4" t="s">
        <v>52</v>
      </c>
    </row>
    <row r="5" spans="1:3" x14ac:dyDescent="0.25">
      <c r="A5" t="s">
        <v>50</v>
      </c>
      <c r="B5" s="50">
        <f>'Base to Base'!C26</f>
        <v>800000</v>
      </c>
      <c r="C5" t="s">
        <v>51</v>
      </c>
    </row>
    <row r="6" spans="1:3" x14ac:dyDescent="0.25">
      <c r="A6" s="49" t="s">
        <v>53</v>
      </c>
      <c r="B6" s="48">
        <f>SUM(B3:B5)</f>
        <v>11093396.226415094</v>
      </c>
    </row>
    <row r="8" spans="1:3" x14ac:dyDescent="0.25">
      <c r="A8" t="s">
        <v>54</v>
      </c>
    </row>
    <row r="9" spans="1:3" x14ac:dyDescent="0.25">
      <c r="A9" t="s">
        <v>62</v>
      </c>
    </row>
    <row r="10" spans="1:3" x14ac:dyDescent="0.25">
      <c r="A10" t="s">
        <v>55</v>
      </c>
      <c r="B10" s="48">
        <f>'Base to Base'!E26</f>
        <v>-164284.34007851739</v>
      </c>
    </row>
    <row r="11" spans="1:3" x14ac:dyDescent="0.25">
      <c r="A11" t="s">
        <v>57</v>
      </c>
    </row>
    <row r="12" spans="1:3" x14ac:dyDescent="0.25">
      <c r="A12" t="s">
        <v>66</v>
      </c>
      <c r="B12" s="50"/>
    </row>
    <row r="13" spans="1:3" x14ac:dyDescent="0.25">
      <c r="A13" t="s">
        <v>56</v>
      </c>
      <c r="B13" s="48">
        <f>B6+SUM(B9:B12)</f>
        <v>10929111.886336576</v>
      </c>
    </row>
    <row r="15" spans="1:3" x14ac:dyDescent="0.25">
      <c r="A15" t="s">
        <v>54</v>
      </c>
    </row>
    <row r="16" spans="1:3" x14ac:dyDescent="0.25">
      <c r="A16" t="s">
        <v>55</v>
      </c>
      <c r="C16" t="s">
        <v>60</v>
      </c>
    </row>
    <row r="17" spans="1:3" x14ac:dyDescent="0.25">
      <c r="A17" t="s">
        <v>57</v>
      </c>
      <c r="B17" s="48">
        <v>200000</v>
      </c>
      <c r="C17" t="s">
        <v>60</v>
      </c>
    </row>
    <row r="18" spans="1:3" x14ac:dyDescent="0.25">
      <c r="A18" t="s">
        <v>66</v>
      </c>
      <c r="B18" s="50"/>
      <c r="C18" t="s">
        <v>60</v>
      </c>
    </row>
    <row r="19" spans="1:3" x14ac:dyDescent="0.25">
      <c r="A19" t="s">
        <v>58</v>
      </c>
      <c r="B19" s="48">
        <f>B13+SUM(B16:B18)</f>
        <v>11129111.886336576</v>
      </c>
      <c r="C19" t="s">
        <v>59</v>
      </c>
    </row>
  </sheetData>
  <mergeCells count="1"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 to Base</vt:lpstr>
      <vt:lpstr>Base to Base Plus</vt:lpstr>
      <vt:lpstr>College A</vt:lpstr>
    </vt:vector>
  </TitlesOfParts>
  <Company>ETSU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moodyr</dc:creator>
  <cp:lastModifiedBy>Guy, Carrie Ann</cp:lastModifiedBy>
  <cp:lastPrinted>2016-06-14T18:01:25Z</cp:lastPrinted>
  <dcterms:created xsi:type="dcterms:W3CDTF">2016-06-14T18:01:05Z</dcterms:created>
  <dcterms:modified xsi:type="dcterms:W3CDTF">2016-10-21T14:22:40Z</dcterms:modified>
</cp:coreProperties>
</file>